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<sst xmlns="http://schemas.openxmlformats.org/spreadsheetml/2006/main" count="162" uniqueCount="112">
  <si>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</si>
  <si>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</si>
  <si>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</si>
  <si>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</si>
  <si>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</si>
  <si>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</si>
  <si>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</si>
  <si>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</si>
  <si>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</si>
  <si>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</si>
  <si>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</si>
  <si>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</si>
  <si>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</si>
  <si>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</si>
  <si>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</si>
  <si>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</si>
  <si>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</si>
  <si>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</si>
  <si>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</si>
  <si>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</si>
  <si>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</si>
  <si>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</si>
  <si>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</si>
  <si>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</si>
  <si>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</si>
  <si>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</si>
  <si>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</si>
  <si>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</si>
  <si>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</si>
  <si>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</si>
  <si>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</si>
  <si>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</si>
  <si>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</si>
  <si>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</si>
  <si>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</si>
  <si>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</si>
  <si>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</si>
  <si>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</si>
  <si>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</si>
  <si>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</si>
  <si>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</si>
  <si>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</si>
  <si>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</si>
  <si>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</si>
  <si>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</si>
  <si>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</si>
  <si>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</si>
  <si>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</si>
  <si>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</si>
  <si>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</si>
  <si>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</si>
  <si>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</si>
  <si>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</si>
  <si>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</si>
  <si>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</si>
  <si>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</si>
  <si>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</si>
  <si>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</si>
  <si>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</si>
  <si>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</si>
  <si>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</si>
  <si>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</si>
  <si>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</si>
  <si>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</si>
  <si>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</si>
  <si>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</si>
  <si>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</si>
  <si>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</si>
  <si>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</si>
  <si>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</si>
  <si>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</si>
  <si>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</si>
  <si>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</si>
  <si>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</si>
  <si>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</si>
  <si>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</si>
  <si>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</si>
  <si>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</si>
  <si>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</si>
  <si>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</si>
  <si>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</si>
  <si>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</si>
  <si>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</si>
  <si>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</si>
  <si>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</si>
  <si>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</si>
  <si>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</si>
  <si>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</si>
  <si>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</si>
  <si>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Субвенція державному бюджету на виконання програм соціально-економічного та культурного розвитку регіонів (250344)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</si>
  <si>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</si>
  <si>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</si>
  <si>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</si>
  <si>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</si>
  <si>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</si>
  <si>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</si>
  <si>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</si>
  <si>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</si>
  <si>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</si>
  <si>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</si>
  <si>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</si>
  <si>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</si>
  <si>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</si>
  <si>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</si>
  <si>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</si>
  <si>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</si>
  <si>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</si>
  <si>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</si>
  <si>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План на 2 місяці, тис.грн.</t>
  </si>
  <si>
    <t>Відсоток виконання плану 2 місяців</t>
  </si>
  <si>
    <t>Відхилення від плану 2 місяців, тис.грн.</t>
  </si>
  <si>
    <t>Аналіз використання коштів міського бюджету за 2017 рік станом на 01.02.2017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</si>
</sst>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89" fontId="35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157960</c:v>
                </c:pt>
                <c:pt idx="1">
                  <c:v>148246.2</c:v>
                </c:pt>
                <c:pt idx="2">
                  <c:v>2620.6</c:v>
                </c:pt>
                <c:pt idx="3">
                  <c:v>7093.199999999988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6170.700000000001</c:v>
                </c:pt>
                <c:pt idx="1">
                  <c:v>5941.1</c:v>
                </c:pt>
                <c:pt idx="2">
                  <c:v>48.5</c:v>
                </c:pt>
                <c:pt idx="3">
                  <c:v>181.10000000000036</c:v>
                </c:pt>
              </c:numCache>
            </c:numRef>
          </c:val>
          <c:shape val="box"/>
        </c:ser>
        <c:shape val="box"/>
        <c:axId val="66997328"/>
        <c:axId val="66105041"/>
      </c:bar3DChart>
      <c:catAx>
        <c:axId val="66997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105041"/>
        <c:crosses val="autoZero"/>
        <c:auto val="1"/>
        <c:lblOffset val="100"/>
        <c:tickLblSkip val="1"/>
        <c:noMultiLvlLbl val="0"/>
      </c:catAx>
      <c:valAx>
        <c:axId val="661050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973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625404.8999999999</c:v>
                </c:pt>
                <c:pt idx="1">
                  <c:v>243334.5</c:v>
                </c:pt>
                <c:pt idx="2">
                  <c:v>487818.8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14045.4</c:v>
                </c:pt>
                <c:pt idx="7">
                  <c:v>15086.199999999919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39664.3</c:v>
                </c:pt>
                <c:pt idx="1">
                  <c:v>17971.3</c:v>
                </c:pt>
                <c:pt idx="2">
                  <c:v>36966.7</c:v>
                </c:pt>
                <c:pt idx="4">
                  <c:v>1082.8</c:v>
                </c:pt>
                <c:pt idx="5">
                  <c:v>534</c:v>
                </c:pt>
                <c:pt idx="6">
                  <c:v>1047.4</c:v>
                </c:pt>
                <c:pt idx="7">
                  <c:v>33.400000000005775</c:v>
                </c:pt>
              </c:numCache>
            </c:numRef>
          </c:val>
          <c:shape val="box"/>
        </c:ser>
        <c:shape val="box"/>
        <c:axId val="58074458"/>
        <c:axId val="52908075"/>
      </c:bar3DChart>
      <c:catAx>
        <c:axId val="58074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908075"/>
        <c:crosses val="autoZero"/>
        <c:auto val="1"/>
        <c:lblOffset val="100"/>
        <c:tickLblSkip val="1"/>
        <c:noMultiLvlLbl val="0"/>
      </c:catAx>
      <c:valAx>
        <c:axId val="529080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744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329127.1</c:v>
                </c:pt>
                <c:pt idx="1">
                  <c:v>238249.5</c:v>
                </c:pt>
                <c:pt idx="2">
                  <c:v>329127.1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24373.2</c:v>
                </c:pt>
                <c:pt idx="1">
                  <c:v>16471.199999999997</c:v>
                </c:pt>
                <c:pt idx="2">
                  <c:v>24373.2</c:v>
                </c:pt>
              </c:numCache>
            </c:numRef>
          </c:val>
          <c:shape val="box"/>
        </c:ser>
        <c:shape val="box"/>
        <c:axId val="6410628"/>
        <c:axId val="57695653"/>
      </c:bar3DChart>
      <c:catAx>
        <c:axId val="6410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695653"/>
        <c:crosses val="autoZero"/>
        <c:auto val="1"/>
        <c:lblOffset val="100"/>
        <c:tickLblSkip val="1"/>
        <c:noMultiLvlLbl val="0"/>
      </c:catAx>
      <c:valAx>
        <c:axId val="576956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06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67303.3</c:v>
                </c:pt>
                <c:pt idx="1">
                  <c:v>55535.9</c:v>
                </c:pt>
                <c:pt idx="2">
                  <c:v>2945.3</c:v>
                </c:pt>
                <c:pt idx="3">
                  <c:v>856.1</c:v>
                </c:pt>
                <c:pt idx="4">
                  <c:v>80.8</c:v>
                </c:pt>
                <c:pt idx="5">
                  <c:v>7885.200000000002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3914.2000000000003</c:v>
                </c:pt>
                <c:pt idx="1">
                  <c:v>3576.9</c:v>
                </c:pt>
                <c:pt idx="2">
                  <c:v>6.6000000000000005</c:v>
                </c:pt>
                <c:pt idx="5">
                  <c:v>330.70000000000016</c:v>
                </c:pt>
              </c:numCache>
            </c:numRef>
          </c:val>
          <c:shape val="box"/>
        </c:ser>
        <c:shape val="box"/>
        <c:axId val="49498830"/>
        <c:axId val="42836287"/>
      </c:bar3DChart>
      <c:catAx>
        <c:axId val="49498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836287"/>
        <c:crosses val="autoZero"/>
        <c:auto val="1"/>
        <c:lblOffset val="100"/>
        <c:tickLblSkip val="1"/>
        <c:noMultiLvlLbl val="0"/>
      </c:catAx>
      <c:valAx>
        <c:axId val="428362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988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23558.7</c:v>
                </c:pt>
                <c:pt idx="1">
                  <c:v>16189.8</c:v>
                </c:pt>
                <c:pt idx="2">
                  <c:v>13</c:v>
                </c:pt>
                <c:pt idx="3">
                  <c:v>810.2</c:v>
                </c:pt>
                <c:pt idx="4">
                  <c:v>1048.5</c:v>
                </c:pt>
                <c:pt idx="5">
                  <c:v>518.9</c:v>
                </c:pt>
                <c:pt idx="6">
                  <c:v>4978.300000000002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1450.1000000000001</c:v>
                </c:pt>
                <c:pt idx="1">
                  <c:v>1131.1999999999998</c:v>
                </c:pt>
                <c:pt idx="6">
                  <c:v>318.9000000000003</c:v>
                </c:pt>
              </c:numCache>
            </c:numRef>
          </c:val>
          <c:shape val="box"/>
        </c:ser>
        <c:shape val="box"/>
        <c:axId val="49982264"/>
        <c:axId val="47187193"/>
      </c:bar3DChart>
      <c:catAx>
        <c:axId val="49982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187193"/>
        <c:crosses val="autoZero"/>
        <c:auto val="1"/>
        <c:lblOffset val="100"/>
        <c:tickLblSkip val="2"/>
        <c:noMultiLvlLbl val="0"/>
      </c:catAx>
      <c:valAx>
        <c:axId val="471871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822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7844.6</c:v>
                </c:pt>
                <c:pt idx="1">
                  <c:v>2900.3</c:v>
                </c:pt>
                <c:pt idx="2">
                  <c:v>337.1</c:v>
                </c:pt>
                <c:pt idx="3">
                  <c:v>451.8</c:v>
                </c:pt>
                <c:pt idx="4">
                  <c:v>3707.1</c:v>
                </c:pt>
                <c:pt idx="5">
                  <c:v>448.30000000000007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201.9</c:v>
                </c:pt>
                <c:pt idx="1">
                  <c:v>201.7</c:v>
                </c:pt>
                <c:pt idx="5">
                  <c:v>0.20000000000001705</c:v>
                </c:pt>
              </c:numCache>
            </c:numRef>
          </c:val>
          <c:shape val="box"/>
        </c:ser>
        <c:shape val="box"/>
        <c:axId val="22031554"/>
        <c:axId val="64066259"/>
      </c:bar3DChart>
      <c:catAx>
        <c:axId val="22031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066259"/>
        <c:crosses val="autoZero"/>
        <c:auto val="1"/>
        <c:lblOffset val="100"/>
        <c:tickLblSkip val="1"/>
        <c:noMultiLvlLbl val="0"/>
      </c:catAx>
      <c:valAx>
        <c:axId val="640662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315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3788.8999999999996</c:v>
                </c:pt>
              </c:numCache>
            </c:numRef>
          </c:val>
          <c:shape val="box"/>
        </c:ser>
        <c:shape val="box"/>
        <c:axId val="39725420"/>
        <c:axId val="21984461"/>
      </c:bar3DChart>
      <c:catAx>
        <c:axId val="39725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1984461"/>
        <c:crosses val="autoZero"/>
        <c:auto val="1"/>
        <c:lblOffset val="100"/>
        <c:tickLblSkip val="1"/>
        <c:noMultiLvlLbl val="0"/>
      </c:catAx>
      <c:valAx>
        <c:axId val="219844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254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625404.8999999999</c:v>
                </c:pt>
                <c:pt idx="1">
                  <c:v>329127.1</c:v>
                </c:pt>
                <c:pt idx="2">
                  <c:v>67303.3</c:v>
                </c:pt>
                <c:pt idx="3">
                  <c:v>23558.7</c:v>
                </c:pt>
                <c:pt idx="4">
                  <c:v>7844.6</c:v>
                </c:pt>
                <c:pt idx="5">
                  <c:v>157960</c:v>
                </c:pt>
                <c:pt idx="6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39664.3</c:v>
                </c:pt>
                <c:pt idx="1">
                  <c:v>24373.2</c:v>
                </c:pt>
                <c:pt idx="2">
                  <c:v>3914.2000000000003</c:v>
                </c:pt>
                <c:pt idx="3">
                  <c:v>1450.1000000000001</c:v>
                </c:pt>
                <c:pt idx="4">
                  <c:v>201.9</c:v>
                </c:pt>
                <c:pt idx="5">
                  <c:v>6170.700000000001</c:v>
                </c:pt>
                <c:pt idx="6">
                  <c:v>3788.8999999999996</c:v>
                </c:pt>
              </c:numCache>
            </c:numRef>
          </c:val>
          <c:shape val="box"/>
        </c:ser>
        <c:shape val="box"/>
        <c:axId val="63642422"/>
        <c:axId val="35910887"/>
      </c:bar3DChart>
      <c:catAx>
        <c:axId val="63642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910887"/>
        <c:crosses val="autoZero"/>
        <c:auto val="1"/>
        <c:lblOffset val="100"/>
        <c:tickLblSkip val="1"/>
        <c:noMultiLvlLbl val="0"/>
      </c:catAx>
      <c:valAx>
        <c:axId val="359108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424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722894.7</c:v>
                </c:pt>
                <c:pt idx="1">
                  <c:v>102469.50000000003</c:v>
                </c:pt>
                <c:pt idx="2">
                  <c:v>28682.2</c:v>
                </c:pt>
                <c:pt idx="3">
                  <c:v>29532.599999999995</c:v>
                </c:pt>
                <c:pt idx="4">
                  <c:v>186.9</c:v>
                </c:pt>
                <c:pt idx="5">
                  <c:v>955547.2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48647.399999999994</c:v>
                </c:pt>
                <c:pt idx="1">
                  <c:v>665.2</c:v>
                </c:pt>
                <c:pt idx="2">
                  <c:v>1082.8</c:v>
                </c:pt>
                <c:pt idx="3">
                  <c:v>1414.3000000000002</c:v>
                </c:pt>
                <c:pt idx="4">
                  <c:v>0</c:v>
                </c:pt>
                <c:pt idx="5">
                  <c:v>51487.3</c:v>
                </c:pt>
              </c:numCache>
            </c:numRef>
          </c:val>
          <c:shape val="box"/>
        </c:ser>
        <c:shape val="box"/>
        <c:axId val="54762528"/>
        <c:axId val="23100705"/>
      </c:bar3DChart>
      <c:catAx>
        <c:axId val="54762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100705"/>
        <c:crosses val="autoZero"/>
        <c:auto val="1"/>
        <c:lblOffset val="100"/>
        <c:tickLblSkip val="1"/>
        <c:noMultiLvlLbl val="0"/>
      </c:catAx>
      <c:valAx>
        <c:axId val="231007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625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5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3" sqref="B13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41</v>
      </c>
      <c r="B3" s="130" t="s">
        <v>108</v>
      </c>
      <c r="C3" s="130" t="s">
        <v>92</v>
      </c>
      <c r="D3" s="130" t="s">
        <v>23</v>
      </c>
      <c r="E3" s="130" t="s">
        <v>22</v>
      </c>
      <c r="F3" s="130" t="s">
        <v>109</v>
      </c>
      <c r="G3" s="130" t="s">
        <v>94</v>
      </c>
      <c r="H3" s="130" t="s">
        <v>110</v>
      </c>
      <c r="I3" s="130" t="s">
        <v>93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27</v>
      </c>
      <c r="B6" s="45">
        <v>121064.5</v>
      </c>
      <c r="C6" s="46">
        <f>625865.1-190.4-316.9+47.1</f>
        <v>625404.8999999999</v>
      </c>
      <c r="D6" s="47">
        <f>13522.8+199.8+351+3.4+1.2+14658+9356.3+1168.4+403.4</f>
        <v>39664.3</v>
      </c>
      <c r="E6" s="3">
        <f>D6/D150*100</f>
        <v>38.39830779209464</v>
      </c>
      <c r="F6" s="3">
        <f>D6/B6*100</f>
        <v>32.76294867611893</v>
      </c>
      <c r="G6" s="3">
        <f aca="true" t="shared" si="0" ref="G6:G43">D6/C6*100</f>
        <v>6.3421792825735785</v>
      </c>
      <c r="H6" s="47">
        <f>B6-D6</f>
        <v>81400.2</v>
      </c>
      <c r="I6" s="47">
        <f aca="true" t="shared" si="1" ref="I6:I43">C6-D6</f>
        <v>585740.5999999999</v>
      </c>
    </row>
    <row r="7" spans="1:9" s="37" customFormat="1" ht="18.75">
      <c r="A7" s="104" t="s">
        <v>83</v>
      </c>
      <c r="B7" s="97">
        <v>40594.7</v>
      </c>
      <c r="C7" s="94">
        <f>243287.4+47.1</f>
        <v>243334.5</v>
      </c>
      <c r="D7" s="105">
        <f>6699.4+11261.7+10.2</f>
        <v>17971.3</v>
      </c>
      <c r="E7" s="95">
        <f>D7/D6*100</f>
        <v>45.308501599675274</v>
      </c>
      <c r="F7" s="95">
        <f>D7/B7*100</f>
        <v>44.27006481141627</v>
      </c>
      <c r="G7" s="95">
        <f>D7/C7*100</f>
        <v>7.385430343827118</v>
      </c>
      <c r="H7" s="105">
        <f>B7-D7</f>
        <v>22623.399999999998</v>
      </c>
      <c r="I7" s="105">
        <f t="shared" si="1"/>
        <v>225363.2</v>
      </c>
    </row>
    <row r="8" spans="1:9" ht="18">
      <c r="A8" s="23" t="s">
        <v>3</v>
      </c>
      <c r="B8" s="42">
        <v>82016.2</v>
      </c>
      <c r="C8" s="43">
        <f>487771.7+47.1</f>
        <v>487818.8</v>
      </c>
      <c r="D8" s="44">
        <f>12945+14658+9353.4+10.2+0.1</f>
        <v>36966.7</v>
      </c>
      <c r="E8" s="1">
        <f>D8/D6*100</f>
        <v>93.19892195248623</v>
      </c>
      <c r="F8" s="1">
        <f>D8/B8*100</f>
        <v>45.07243690880582</v>
      </c>
      <c r="G8" s="1">
        <f t="shared" si="0"/>
        <v>7.577957225100795</v>
      </c>
      <c r="H8" s="44">
        <f>B8-D8</f>
        <v>45049.5</v>
      </c>
      <c r="I8" s="44">
        <f t="shared" si="1"/>
        <v>450852.1</v>
      </c>
    </row>
    <row r="9" spans="1:9" ht="18">
      <c r="A9" s="23" t="s">
        <v>2</v>
      </c>
      <c r="B9" s="42">
        <v>5.5</v>
      </c>
      <c r="C9" s="43">
        <v>92.5</v>
      </c>
      <c r="D9" s="44"/>
      <c r="E9" s="12">
        <f>D9/D6*100</f>
        <v>0</v>
      </c>
      <c r="F9" s="120">
        <f>D9/B9*100</f>
        <v>0</v>
      </c>
      <c r="G9" s="1">
        <f t="shared" si="0"/>
        <v>0</v>
      </c>
      <c r="H9" s="44">
        <f aca="true" t="shared" si="2" ref="H9:H43">B9-D9</f>
        <v>5.5</v>
      </c>
      <c r="I9" s="44">
        <f t="shared" si="1"/>
        <v>92.5</v>
      </c>
    </row>
    <row r="10" spans="1:9" ht="18">
      <c r="A10" s="23" t="s">
        <v>1</v>
      </c>
      <c r="B10" s="42">
        <v>5324.9</v>
      </c>
      <c r="C10" s="43">
        <f>27822.4-190.4-170.5</f>
        <v>27461.5</v>
      </c>
      <c r="D10" s="48">
        <f>577.8+199.8+74.7+2.9+214.2+13.4</f>
        <v>1082.8</v>
      </c>
      <c r="E10" s="1">
        <f>D10/D6*100</f>
        <v>2.7299107761891674</v>
      </c>
      <c r="F10" s="1">
        <f aca="true" t="shared" si="3" ref="F10:F41">D10/B10*100</f>
        <v>20.33465417190933</v>
      </c>
      <c r="G10" s="1">
        <f t="shared" si="0"/>
        <v>3.942974710048613</v>
      </c>
      <c r="H10" s="44">
        <f t="shared" si="2"/>
        <v>4242.099999999999</v>
      </c>
      <c r="I10" s="44">
        <f t="shared" si="1"/>
        <v>26378.7</v>
      </c>
    </row>
    <row r="11" spans="1:9" ht="18">
      <c r="A11" s="23" t="s">
        <v>0</v>
      </c>
      <c r="B11" s="42">
        <v>29742.3</v>
      </c>
      <c r="C11" s="43">
        <v>80900.5</v>
      </c>
      <c r="D11" s="49">
        <f>143.9+390+0.1</f>
        <v>534</v>
      </c>
      <c r="E11" s="1">
        <f>D11/D6*100</f>
        <v>1.346298812786309</v>
      </c>
      <c r="F11" s="1">
        <f t="shared" si="3"/>
        <v>1.7954226808283154</v>
      </c>
      <c r="G11" s="1">
        <f t="shared" si="0"/>
        <v>0.6600700860934111</v>
      </c>
      <c r="H11" s="44">
        <f t="shared" si="2"/>
        <v>29208.3</v>
      </c>
      <c r="I11" s="44">
        <f t="shared" si="1"/>
        <v>80366.5</v>
      </c>
    </row>
    <row r="12" spans="1:9" ht="18">
      <c r="A12" s="23" t="s">
        <v>14</v>
      </c>
      <c r="B12" s="42">
        <v>2578.5</v>
      </c>
      <c r="C12" s="43">
        <v>14045.4</v>
      </c>
      <c r="D12" s="44">
        <f>276.3+3.4+1.2+766.5</f>
        <v>1047.4</v>
      </c>
      <c r="E12" s="1">
        <f>D12/D6*100</f>
        <v>2.640661753768502</v>
      </c>
      <c r="F12" s="1">
        <f t="shared" si="3"/>
        <v>40.62051580376188</v>
      </c>
      <c r="G12" s="1">
        <f t="shared" si="0"/>
        <v>7.457245788656786</v>
      </c>
      <c r="H12" s="44">
        <f t="shared" si="2"/>
        <v>1531.1</v>
      </c>
      <c r="I12" s="44">
        <f t="shared" si="1"/>
        <v>12998</v>
      </c>
    </row>
    <row r="13" spans="1:9" ht="18.75" thickBot="1">
      <c r="A13" s="23" t="s">
        <v>28</v>
      </c>
      <c r="B13" s="43">
        <f>B6-B8-B9-B10-B11-B12</f>
        <v>1397.1000000000022</v>
      </c>
      <c r="C13" s="43">
        <f>C6-C8-C9-C10-C11-C12</f>
        <v>15086.199999999919</v>
      </c>
      <c r="D13" s="43">
        <f>D6-D8-D9-D10-D11-D12</f>
        <v>33.400000000005775</v>
      </c>
      <c r="E13" s="1">
        <f>D13/D6*100</f>
        <v>0.08420670476979494</v>
      </c>
      <c r="F13" s="1">
        <f t="shared" si="3"/>
        <v>2.3906663803597255</v>
      </c>
      <c r="G13" s="1">
        <f t="shared" si="0"/>
        <v>0.22139438692318777</v>
      </c>
      <c r="H13" s="44">
        <f t="shared" si="2"/>
        <v>1363.6999999999964</v>
      </c>
      <c r="I13" s="44">
        <f t="shared" si="1"/>
        <v>15052.799999999914</v>
      </c>
    </row>
    <row r="14" spans="1:9" s="37" customFormat="1" ht="18.75" customHeight="1" hidden="1">
      <c r="A14" s="96" t="s">
        <v>63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</row>
    <row r="15" spans="1:9" s="37" customFormat="1" ht="18.75" customHeight="1" hidden="1">
      <c r="A15" s="96" t="s">
        <v>60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</row>
    <row r="16" spans="1:9" s="37" customFormat="1" ht="19.5" hidden="1" thickBot="1">
      <c r="A16" s="96" t="s">
        <v>61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</row>
    <row r="17" spans="1:9" s="37" customFormat="1" ht="19.5" hidden="1" thickBot="1">
      <c r="A17" s="96" t="s">
        <v>62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</row>
    <row r="18" spans="1:9" ht="18.75" thickBot="1">
      <c r="A18" s="22" t="s">
        <v>19</v>
      </c>
      <c r="B18" s="45">
        <v>65601.9</v>
      </c>
      <c r="C18" s="46">
        <v>329127.1</v>
      </c>
      <c r="D18" s="47">
        <f>7750.2+16091.8+509.8+21.4</f>
        <v>24373.2</v>
      </c>
      <c r="E18" s="3">
        <f>D18/D150*100</f>
        <v>23.59526414126257</v>
      </c>
      <c r="F18" s="3">
        <f>D18/B18*100</f>
        <v>37.15319220937199</v>
      </c>
      <c r="G18" s="3">
        <f t="shared" si="0"/>
        <v>7.405406604317907</v>
      </c>
      <c r="H18" s="47">
        <f>B18-D18</f>
        <v>41228.7</v>
      </c>
      <c r="I18" s="47">
        <f t="shared" si="1"/>
        <v>304753.89999999997</v>
      </c>
    </row>
    <row r="19" spans="1:9" s="37" customFormat="1" ht="18.75">
      <c r="A19" s="104" t="s">
        <v>84</v>
      </c>
      <c r="B19" s="97">
        <v>39708.5</v>
      </c>
      <c r="C19" s="94">
        <v>238249.5</v>
      </c>
      <c r="D19" s="105">
        <f>7750.2+9045.4-324.4</f>
        <v>16471.199999999997</v>
      </c>
      <c r="E19" s="95">
        <f>D19/D18*100</f>
        <v>67.57914430604104</v>
      </c>
      <c r="F19" s="95">
        <f t="shared" si="3"/>
        <v>41.48028759585479</v>
      </c>
      <c r="G19" s="95">
        <f t="shared" si="0"/>
        <v>6.913424792077212</v>
      </c>
      <c r="H19" s="105">
        <f t="shared" si="2"/>
        <v>23237.300000000003</v>
      </c>
      <c r="I19" s="105">
        <f t="shared" si="1"/>
        <v>221778.3</v>
      </c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65601.9</v>
      </c>
      <c r="C25" s="43">
        <f>C18</f>
        <v>329127.1</v>
      </c>
      <c r="D25" s="43">
        <f>D18</f>
        <v>24373.2</v>
      </c>
      <c r="E25" s="1">
        <f>D25/D18*100</f>
        <v>100</v>
      </c>
      <c r="F25" s="1">
        <f t="shared" si="3"/>
        <v>37.15319220937199</v>
      </c>
      <c r="G25" s="1">
        <f t="shared" si="0"/>
        <v>7.405406604317907</v>
      </c>
      <c r="H25" s="44">
        <f t="shared" si="2"/>
        <v>41228.7</v>
      </c>
      <c r="I25" s="44">
        <f t="shared" si="1"/>
        <v>304753.89999999997</v>
      </c>
    </row>
    <row r="26" spans="1:9" ht="57" hidden="1" thickBot="1">
      <c r="A26" s="96" t="s">
        <v>71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72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73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74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75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76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77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9874.6</v>
      </c>
      <c r="C33" s="46">
        <v>67303.3</v>
      </c>
      <c r="D33" s="50">
        <f>1839.2+34.8+165.7+1873.2+1.3</f>
        <v>3914.2000000000003</v>
      </c>
      <c r="E33" s="3">
        <f>D33/D150*100</f>
        <v>3.789267839337058</v>
      </c>
      <c r="F33" s="3">
        <f>D33/B33*100</f>
        <v>39.6390739878071</v>
      </c>
      <c r="G33" s="3">
        <f t="shared" si="0"/>
        <v>5.815762377179128</v>
      </c>
      <c r="H33" s="47">
        <f t="shared" si="2"/>
        <v>5960.4</v>
      </c>
      <c r="I33" s="47">
        <f t="shared" si="1"/>
        <v>63389.100000000006</v>
      </c>
    </row>
    <row r="34" spans="1:9" ht="18">
      <c r="A34" s="23" t="s">
        <v>3</v>
      </c>
      <c r="B34" s="42">
        <v>7367</v>
      </c>
      <c r="C34" s="43">
        <v>55535.9</v>
      </c>
      <c r="D34" s="44">
        <f>1743.2+1833.7</f>
        <v>3576.9</v>
      </c>
      <c r="E34" s="1">
        <f>D34/D33*100</f>
        <v>91.38265801440907</v>
      </c>
      <c r="F34" s="1">
        <f t="shared" si="3"/>
        <v>48.55300665128275</v>
      </c>
      <c r="G34" s="1">
        <f t="shared" si="0"/>
        <v>6.440698719206855</v>
      </c>
      <c r="H34" s="44">
        <f t="shared" si="2"/>
        <v>3790.1</v>
      </c>
      <c r="I34" s="44">
        <f t="shared" si="1"/>
        <v>51959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819.5</v>
      </c>
      <c r="C36" s="43">
        <v>2945.3</v>
      </c>
      <c r="D36" s="44">
        <f>5.4+1.2</f>
        <v>6.6000000000000005</v>
      </c>
      <c r="E36" s="1">
        <f>D36/D33*100</f>
        <v>0.1686168310254969</v>
      </c>
      <c r="F36" s="1">
        <f t="shared" si="3"/>
        <v>0.8053691275167786</v>
      </c>
      <c r="G36" s="1">
        <f t="shared" si="0"/>
        <v>0.22408583166400706</v>
      </c>
      <c r="H36" s="44">
        <f t="shared" si="2"/>
        <v>812.9</v>
      </c>
      <c r="I36" s="44">
        <f t="shared" si="1"/>
        <v>2938.7000000000003</v>
      </c>
    </row>
    <row r="37" spans="1:9" s="37" customFormat="1" ht="18.75">
      <c r="A37" s="18" t="s">
        <v>7</v>
      </c>
      <c r="B37" s="51">
        <v>94.5</v>
      </c>
      <c r="C37" s="52">
        <v>856.1</v>
      </c>
      <c r="D37" s="53"/>
      <c r="E37" s="17">
        <f>D37/D33*100</f>
        <v>0</v>
      </c>
      <c r="F37" s="17">
        <f t="shared" si="3"/>
        <v>0</v>
      </c>
      <c r="G37" s="17">
        <f t="shared" si="0"/>
        <v>0</v>
      </c>
      <c r="H37" s="53">
        <f t="shared" si="2"/>
        <v>94.5</v>
      </c>
      <c r="I37" s="53">
        <f t="shared" si="1"/>
        <v>856.1</v>
      </c>
    </row>
    <row r="38" spans="1:9" ht="18">
      <c r="A38" s="23" t="s">
        <v>14</v>
      </c>
      <c r="B38" s="42">
        <v>10.2</v>
      </c>
      <c r="C38" s="43">
        <v>80.8</v>
      </c>
      <c r="D38" s="43"/>
      <c r="E38" s="1">
        <f>D38/D33*100</f>
        <v>0</v>
      </c>
      <c r="F38" s="1">
        <f t="shared" si="3"/>
        <v>0</v>
      </c>
      <c r="G38" s="1">
        <f t="shared" si="0"/>
        <v>0</v>
      </c>
      <c r="H38" s="44">
        <f t="shared" si="2"/>
        <v>10.2</v>
      </c>
      <c r="I38" s="44">
        <f t="shared" si="1"/>
        <v>80.8</v>
      </c>
    </row>
    <row r="39" spans="1:9" ht="18.75" thickBot="1">
      <c r="A39" s="23" t="s">
        <v>28</v>
      </c>
      <c r="B39" s="42">
        <f>B33-B34-B36-B37-B35-B38</f>
        <v>1583.4000000000003</v>
      </c>
      <c r="C39" s="42">
        <f>C33-C34-C36-C37-C35-C38</f>
        <v>7885.200000000002</v>
      </c>
      <c r="D39" s="42">
        <f>D33-D34-D36-D37-D35-D38</f>
        <v>330.70000000000016</v>
      </c>
      <c r="E39" s="1">
        <f>D39/D33*100</f>
        <v>8.448725154565432</v>
      </c>
      <c r="F39" s="1">
        <f t="shared" si="3"/>
        <v>20.885436402677787</v>
      </c>
      <c r="G39" s="1">
        <f t="shared" si="0"/>
        <v>4.193932937655355</v>
      </c>
      <c r="H39" s="44">
        <f>B39-D39</f>
        <v>1252.7000000000003</v>
      </c>
      <c r="I39" s="44">
        <f t="shared" si="1"/>
        <v>7554.500000000002</v>
      </c>
    </row>
    <row r="40" spans="1:9" ht="19.5" hidden="1" thickBot="1">
      <c r="A40" s="96" t="s">
        <v>68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69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70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304.6</v>
      </c>
      <c r="C43" s="46">
        <v>1548.6</v>
      </c>
      <c r="D43" s="47">
        <f>29.1+22</f>
        <v>51.1</v>
      </c>
      <c r="E43" s="3">
        <f>D43/D150*100</f>
        <v>0.049469006844342044</v>
      </c>
      <c r="F43" s="3">
        <f>D43/B43*100</f>
        <v>16.776099803020355</v>
      </c>
      <c r="G43" s="3">
        <f t="shared" si="0"/>
        <v>3.2997546170734857</v>
      </c>
      <c r="H43" s="47">
        <f t="shared" si="2"/>
        <v>253.50000000000003</v>
      </c>
      <c r="I43" s="47">
        <f t="shared" si="1"/>
        <v>1497.5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2030.7</v>
      </c>
      <c r="C45" s="46">
        <v>11788</v>
      </c>
      <c r="D45" s="47">
        <f>102.9+155.5+3.1+3.7+452.3</f>
        <v>717.5</v>
      </c>
      <c r="E45" s="3">
        <f>D45/D150*100</f>
        <v>0.6945990687048027</v>
      </c>
      <c r="F45" s="3">
        <f>D45/B45*100</f>
        <v>35.33264391589107</v>
      </c>
      <c r="G45" s="3">
        <f aca="true" t="shared" si="4" ref="G45:G76">D45/C45*100</f>
        <v>6.0866983372921615</v>
      </c>
      <c r="H45" s="47">
        <f>B45-D45</f>
        <v>1313.2</v>
      </c>
      <c r="I45" s="47">
        <f aca="true" t="shared" si="5" ref="I45:I77">C45-D45</f>
        <v>11070.5</v>
      </c>
    </row>
    <row r="46" spans="1:9" ht="18">
      <c r="A46" s="23" t="s">
        <v>3</v>
      </c>
      <c r="B46" s="42">
        <v>1662.8</v>
      </c>
      <c r="C46" s="43">
        <v>10529.7</v>
      </c>
      <c r="D46" s="44">
        <f>102.7+154.9+447.3</f>
        <v>704.9000000000001</v>
      </c>
      <c r="E46" s="1">
        <f>D46/D45*100</f>
        <v>98.2439024390244</v>
      </c>
      <c r="F46" s="1">
        <f aca="true" t="shared" si="6" ref="F46:F74">D46/B46*100</f>
        <v>42.392350252586006</v>
      </c>
      <c r="G46" s="1">
        <f t="shared" si="4"/>
        <v>6.694397751123014</v>
      </c>
      <c r="H46" s="44">
        <f aca="true" t="shared" si="7" ref="H46:H74">B46-D46</f>
        <v>957.8999999999999</v>
      </c>
      <c r="I46" s="44">
        <f t="shared" si="5"/>
        <v>9824.800000000001</v>
      </c>
    </row>
    <row r="47" spans="1:9" ht="18">
      <c r="A47" s="23" t="s">
        <v>2</v>
      </c>
      <c r="B47" s="42">
        <v>0.5</v>
      </c>
      <c r="C47" s="43">
        <v>1.4</v>
      </c>
      <c r="D47" s="44"/>
      <c r="E47" s="1">
        <f>D47/D45*100</f>
        <v>0</v>
      </c>
      <c r="F47" s="1">
        <f t="shared" si="6"/>
        <v>0</v>
      </c>
      <c r="G47" s="1">
        <f t="shared" si="4"/>
        <v>0</v>
      </c>
      <c r="H47" s="44">
        <f t="shared" si="7"/>
        <v>0.5</v>
      </c>
      <c r="I47" s="44">
        <f t="shared" si="5"/>
        <v>1.4</v>
      </c>
    </row>
    <row r="48" spans="1:9" ht="18">
      <c r="A48" s="23" t="s">
        <v>1</v>
      </c>
      <c r="B48" s="42">
        <v>8.2</v>
      </c>
      <c r="C48" s="43">
        <v>73.4</v>
      </c>
      <c r="D48" s="44"/>
      <c r="E48" s="1">
        <f>D48/D45*100</f>
        <v>0</v>
      </c>
      <c r="F48" s="1">
        <f t="shared" si="6"/>
        <v>0</v>
      </c>
      <c r="G48" s="1">
        <f t="shared" si="4"/>
        <v>0</v>
      </c>
      <c r="H48" s="44">
        <f t="shared" si="7"/>
        <v>8.2</v>
      </c>
      <c r="I48" s="44">
        <f t="shared" si="5"/>
        <v>73.4</v>
      </c>
    </row>
    <row r="49" spans="1:9" ht="18">
      <c r="A49" s="23" t="s">
        <v>0</v>
      </c>
      <c r="B49" s="42">
        <v>317.1</v>
      </c>
      <c r="C49" s="43">
        <v>865.1</v>
      </c>
      <c r="D49" s="44">
        <f>3.1+3.5</f>
        <v>6.6</v>
      </c>
      <c r="E49" s="1">
        <f>D49/D45*100</f>
        <v>0.9198606271777003</v>
      </c>
      <c r="F49" s="1">
        <f t="shared" si="6"/>
        <v>2.0813623462630084</v>
      </c>
      <c r="G49" s="1">
        <f t="shared" si="4"/>
        <v>0.7629175817824528</v>
      </c>
      <c r="H49" s="44">
        <f t="shared" si="7"/>
        <v>310.5</v>
      </c>
      <c r="I49" s="44">
        <f t="shared" si="5"/>
        <v>858.5</v>
      </c>
    </row>
    <row r="50" spans="1:9" ht="18.75" thickBot="1">
      <c r="A50" s="23" t="s">
        <v>28</v>
      </c>
      <c r="B50" s="43">
        <f>B45-B46-B49-B48-B47</f>
        <v>42.100000000000065</v>
      </c>
      <c r="C50" s="43">
        <f>C45-C46-C49-C48-C47</f>
        <v>318.3999999999993</v>
      </c>
      <c r="D50" s="43">
        <f>D45-D46-D49-D48-D47</f>
        <v>5.999999999999909</v>
      </c>
      <c r="E50" s="1">
        <f>D50/D45*100</f>
        <v>0.8362369337978968</v>
      </c>
      <c r="F50" s="1">
        <f t="shared" si="6"/>
        <v>14.251781472683847</v>
      </c>
      <c r="G50" s="1">
        <f t="shared" si="4"/>
        <v>1.8844221105527394</v>
      </c>
      <c r="H50" s="44">
        <f t="shared" si="7"/>
        <v>36.10000000000016</v>
      </c>
      <c r="I50" s="44">
        <f t="shared" si="5"/>
        <v>312.3999999999994</v>
      </c>
    </row>
    <row r="51" spans="1:9" ht="18.75" thickBot="1">
      <c r="A51" s="22" t="s">
        <v>4</v>
      </c>
      <c r="B51" s="45">
        <v>3975.9</v>
      </c>
      <c r="C51" s="46">
        <v>23558.7</v>
      </c>
      <c r="D51" s="47">
        <f>475.9+7.8+935.8+30.7-0.1</f>
        <v>1450.1000000000001</v>
      </c>
      <c r="E51" s="3">
        <f>D51/D150*100</f>
        <v>1.4038161805279923</v>
      </c>
      <c r="F51" s="3">
        <f>D51/B51*100</f>
        <v>36.47224527779874</v>
      </c>
      <c r="G51" s="3">
        <f t="shared" si="4"/>
        <v>6.155263236086881</v>
      </c>
      <c r="H51" s="47">
        <f>B51-D51</f>
        <v>2525.8</v>
      </c>
      <c r="I51" s="47">
        <f t="shared" si="5"/>
        <v>22108.600000000002</v>
      </c>
    </row>
    <row r="52" spans="1:9" ht="18">
      <c r="A52" s="23" t="s">
        <v>3</v>
      </c>
      <c r="B52" s="42">
        <v>2388</v>
      </c>
      <c r="C52" s="43">
        <v>16189.8</v>
      </c>
      <c r="D52" s="44">
        <f>392.4+738.8</f>
        <v>1131.1999999999998</v>
      </c>
      <c r="E52" s="1">
        <f>D52/D51*100</f>
        <v>78.00841321288186</v>
      </c>
      <c r="F52" s="1">
        <f t="shared" si="6"/>
        <v>47.37018425460636</v>
      </c>
      <c r="G52" s="1">
        <f t="shared" si="4"/>
        <v>6.987115344229082</v>
      </c>
      <c r="H52" s="44">
        <f t="shared" si="7"/>
        <v>1256.8000000000002</v>
      </c>
      <c r="I52" s="44">
        <f t="shared" si="5"/>
        <v>15058.599999999999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125.5</v>
      </c>
      <c r="C54" s="43">
        <v>810.2</v>
      </c>
      <c r="D54" s="44"/>
      <c r="E54" s="1">
        <f>D54/D51*100</f>
        <v>0</v>
      </c>
      <c r="F54" s="1">
        <f t="shared" si="6"/>
        <v>0</v>
      </c>
      <c r="G54" s="1">
        <f t="shared" si="4"/>
        <v>0</v>
      </c>
      <c r="H54" s="44">
        <f t="shared" si="7"/>
        <v>125.5</v>
      </c>
      <c r="I54" s="44">
        <f t="shared" si="5"/>
        <v>810.2</v>
      </c>
    </row>
    <row r="55" spans="1:9" ht="18">
      <c r="A55" s="23" t="s">
        <v>0</v>
      </c>
      <c r="B55" s="42">
        <v>326.8</v>
      </c>
      <c r="C55" s="43">
        <v>1048.5</v>
      </c>
      <c r="D55" s="44"/>
      <c r="E55" s="1">
        <f>D55/D51*100</f>
        <v>0</v>
      </c>
      <c r="F55" s="1">
        <f t="shared" si="6"/>
        <v>0</v>
      </c>
      <c r="G55" s="1">
        <f t="shared" si="4"/>
        <v>0</v>
      </c>
      <c r="H55" s="44">
        <f t="shared" si="7"/>
        <v>326.8</v>
      </c>
      <c r="I55" s="44">
        <f t="shared" si="5"/>
        <v>1048.5</v>
      </c>
    </row>
    <row r="56" spans="1:9" ht="18">
      <c r="A56" s="23" t="s">
        <v>14</v>
      </c>
      <c r="B56" s="42">
        <v>86.5</v>
      </c>
      <c r="C56" s="43">
        <v>518.9</v>
      </c>
      <c r="D56" s="43"/>
      <c r="E56" s="1">
        <f>D56/D51*100</f>
        <v>0</v>
      </c>
      <c r="F56" s="1">
        <f>D56/B56*100</f>
        <v>0</v>
      </c>
      <c r="G56" s="1">
        <f>D56/C56*100</f>
        <v>0</v>
      </c>
      <c r="H56" s="44">
        <f t="shared" si="7"/>
        <v>86.5</v>
      </c>
      <c r="I56" s="44">
        <f t="shared" si="5"/>
        <v>518.9</v>
      </c>
    </row>
    <row r="57" spans="1:9" ht="18.75" thickBot="1">
      <c r="A57" s="23" t="s">
        <v>28</v>
      </c>
      <c r="B57" s="43">
        <f>B51-B52-B55-B54-B53-B56</f>
        <v>1049.1000000000001</v>
      </c>
      <c r="C57" s="43">
        <f>C51-C52-C55-C54-C53-C56</f>
        <v>4978.300000000002</v>
      </c>
      <c r="D57" s="43">
        <f>D51-D52-D55-D54-D53-D56</f>
        <v>318.9000000000003</v>
      </c>
      <c r="E57" s="1">
        <f>D57/D51*100</f>
        <v>21.991586787118152</v>
      </c>
      <c r="F57" s="1">
        <f t="shared" si="6"/>
        <v>30.397483557334887</v>
      </c>
      <c r="G57" s="1">
        <f t="shared" si="4"/>
        <v>6.405801177108655</v>
      </c>
      <c r="H57" s="44">
        <f>B57-D57</f>
        <v>730.1999999999998</v>
      </c>
      <c r="I57" s="44">
        <f>C57-D57</f>
        <v>4659.4000000000015</v>
      </c>
    </row>
    <row r="58" spans="1:9" s="37" customFormat="1" ht="19.5" hidden="1" thickBot="1">
      <c r="A58" s="96" t="s">
        <v>67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630</v>
      </c>
      <c r="C59" s="46">
        <v>7844.6</v>
      </c>
      <c r="D59" s="47">
        <f>55.6+0.2+146.1</f>
        <v>201.9</v>
      </c>
      <c r="E59" s="3">
        <f>D59/D150*100</f>
        <v>0.19545582156306573</v>
      </c>
      <c r="F59" s="3">
        <f>D59/B59*100</f>
        <v>32.047619047619044</v>
      </c>
      <c r="G59" s="3">
        <f t="shared" si="4"/>
        <v>2.573744996558142</v>
      </c>
      <c r="H59" s="47">
        <f>B59-D59</f>
        <v>428.1</v>
      </c>
      <c r="I59" s="47">
        <f t="shared" si="5"/>
        <v>7642.700000000001</v>
      </c>
    </row>
    <row r="60" spans="1:9" ht="18">
      <c r="A60" s="23" t="s">
        <v>3</v>
      </c>
      <c r="B60" s="42">
        <v>470.8</v>
      </c>
      <c r="C60" s="43">
        <v>2900.3</v>
      </c>
      <c r="D60" s="44">
        <f>55.6+146.1</f>
        <v>201.7</v>
      </c>
      <c r="E60" s="1">
        <f>D60/D59*100</f>
        <v>99.90094105993064</v>
      </c>
      <c r="F60" s="1">
        <f t="shared" si="6"/>
        <v>42.84197111299915</v>
      </c>
      <c r="G60" s="1">
        <f t="shared" si="4"/>
        <v>6.954452987621969</v>
      </c>
      <c r="H60" s="44">
        <f t="shared" si="7"/>
        <v>269.1</v>
      </c>
      <c r="I60" s="44">
        <f t="shared" si="5"/>
        <v>2698.6000000000004</v>
      </c>
    </row>
    <row r="61" spans="1:9" ht="18">
      <c r="A61" s="23" t="s">
        <v>1</v>
      </c>
      <c r="B61" s="42">
        <v>0</v>
      </c>
      <c r="C61" s="43">
        <v>337.1</v>
      </c>
      <c r="D61" s="44"/>
      <c r="E61" s="1">
        <f>D61/D59*100</f>
        <v>0</v>
      </c>
      <c r="F61" s="103" t="e">
        <f>D61/B61*100</f>
        <v>#DIV/0!</v>
      </c>
      <c r="G61" s="1">
        <f t="shared" si="4"/>
        <v>0</v>
      </c>
      <c r="H61" s="44">
        <f t="shared" si="7"/>
        <v>0</v>
      </c>
      <c r="I61" s="44">
        <f t="shared" si="5"/>
        <v>337.1</v>
      </c>
    </row>
    <row r="62" spans="1:9" ht="18">
      <c r="A62" s="23" t="s">
        <v>0</v>
      </c>
      <c r="B62" s="42">
        <v>154</v>
      </c>
      <c r="C62" s="43">
        <v>451.8</v>
      </c>
      <c r="D62" s="44"/>
      <c r="E62" s="1">
        <f>D62/D59*100</f>
        <v>0</v>
      </c>
      <c r="F62" s="1">
        <f t="shared" si="6"/>
        <v>0</v>
      </c>
      <c r="G62" s="1">
        <f t="shared" si="4"/>
        <v>0</v>
      </c>
      <c r="H62" s="44">
        <f t="shared" si="7"/>
        <v>154</v>
      </c>
      <c r="I62" s="44">
        <f t="shared" si="5"/>
        <v>451.8</v>
      </c>
    </row>
    <row r="63" spans="1:9" ht="18">
      <c r="A63" s="23" t="s">
        <v>14</v>
      </c>
      <c r="B63" s="42">
        <v>0</v>
      </c>
      <c r="C63" s="43">
        <v>3707.1</v>
      </c>
      <c r="D63" s="44"/>
      <c r="E63" s="1">
        <f>D63/D59*100</f>
        <v>0</v>
      </c>
      <c r="F63" s="103" t="e">
        <f t="shared" si="6"/>
        <v>#DIV/0!</v>
      </c>
      <c r="G63" s="1">
        <f t="shared" si="4"/>
        <v>0</v>
      </c>
      <c r="H63" s="44">
        <f t="shared" si="7"/>
        <v>0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5.199999999999989</v>
      </c>
      <c r="C64" s="43">
        <f>C59-C60-C62-C63-C61</f>
        <v>448.30000000000007</v>
      </c>
      <c r="D64" s="43">
        <f>D59-D60-D62-D63-D61</f>
        <v>0.20000000000001705</v>
      </c>
      <c r="E64" s="1">
        <f>D64/D59*100</f>
        <v>0.0990589400693497</v>
      </c>
      <c r="F64" s="1">
        <f t="shared" si="6"/>
        <v>3.8461538461541824</v>
      </c>
      <c r="G64" s="1">
        <f t="shared" si="4"/>
        <v>0.04461298237787576</v>
      </c>
      <c r="H64" s="44">
        <f t="shared" si="7"/>
        <v>4.999999999999972</v>
      </c>
      <c r="I64" s="44">
        <f t="shared" si="5"/>
        <v>448.1</v>
      </c>
    </row>
    <row r="65" spans="1:9" s="37" customFormat="1" ht="19.5" hidden="1" thickBot="1">
      <c r="A65" s="96" t="s">
        <v>78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64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65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66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169.70000000000002</v>
      </c>
      <c r="C69" s="46">
        <f>C70+C71</f>
        <v>477.7</v>
      </c>
      <c r="D69" s="47">
        <f>SUM(D70:D71)</f>
        <v>0</v>
      </c>
      <c r="E69" s="35">
        <f>D69/D150*100</f>
        <v>0</v>
      </c>
      <c r="F69" s="3">
        <f>D69/B69*100</f>
        <v>0</v>
      </c>
      <c r="G69" s="3">
        <f t="shared" si="4"/>
        <v>0</v>
      </c>
      <c r="H69" s="47">
        <f>B69-D69</f>
        <v>169.70000000000002</v>
      </c>
      <c r="I69" s="47">
        <f t="shared" si="5"/>
        <v>477.7</v>
      </c>
    </row>
    <row r="70" spans="1:9" ht="18">
      <c r="A70" s="23" t="s">
        <v>8</v>
      </c>
      <c r="B70" s="42">
        <v>137.8</v>
      </c>
      <c r="C70" s="43">
        <v>203.8</v>
      </c>
      <c r="D70" s="44"/>
      <c r="E70" s="1" t="e">
        <f>D70/D69*100</f>
        <v>#DIV/0!</v>
      </c>
      <c r="F70" s="1">
        <f t="shared" si="6"/>
        <v>0</v>
      </c>
      <c r="G70" s="1">
        <f t="shared" si="4"/>
        <v>0</v>
      </c>
      <c r="H70" s="44">
        <f t="shared" si="7"/>
        <v>137.8</v>
      </c>
      <c r="I70" s="44">
        <f t="shared" si="5"/>
        <v>203.8</v>
      </c>
    </row>
    <row r="71" spans="1:9" ht="18.75" thickBot="1">
      <c r="A71" s="23" t="s">
        <v>9</v>
      </c>
      <c r="B71" s="42">
        <v>31.9</v>
      </c>
      <c r="C71" s="43">
        <v>273.9</v>
      </c>
      <c r="D71" s="44"/>
      <c r="E71" s="1" t="e">
        <f>D71/D70*100</f>
        <v>#DIV/0!</v>
      </c>
      <c r="F71" s="1">
        <f t="shared" si="6"/>
        <v>0</v>
      </c>
      <c r="G71" s="1">
        <f t="shared" si="4"/>
        <v>0</v>
      </c>
      <c r="H71" s="44">
        <f t="shared" si="7"/>
        <v>31.9</v>
      </c>
      <c r="I71" s="44">
        <f t="shared" si="5"/>
        <v>273.9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1666.7</v>
      </c>
      <c r="C77" s="62">
        <v>10000</v>
      </c>
      <c r="D77" s="63"/>
      <c r="E77" s="41"/>
      <c r="F77" s="41"/>
      <c r="G77" s="41"/>
      <c r="H77" s="63">
        <f>B77-D77</f>
        <v>1666.7</v>
      </c>
      <c r="I77" s="63">
        <f t="shared" si="5"/>
        <v>10000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58</v>
      </c>
      <c r="B79" s="54"/>
      <c r="C79" s="46"/>
      <c r="D79" s="46"/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57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v>27560.3</v>
      </c>
      <c r="C90" s="46">
        <v>157960</v>
      </c>
      <c r="D90" s="47">
        <f>4.8+1016.5+864.1+250.6+6.8+2.9+10.6+5.5+0.6+1.5+29.3+1648.7+1618.2+708.6+2</f>
        <v>6170.700000000001</v>
      </c>
      <c r="E90" s="3">
        <f>D90/D150*100</f>
        <v>5.973745607326448</v>
      </c>
      <c r="F90" s="3">
        <f aca="true" t="shared" si="10" ref="F90:F96">D90/B90*100</f>
        <v>22.389814334386784</v>
      </c>
      <c r="G90" s="3">
        <f t="shared" si="8"/>
        <v>3.906495315269689</v>
      </c>
      <c r="H90" s="47">
        <f aca="true" t="shared" si="11" ref="H90:H96">B90-D90</f>
        <v>21389.6</v>
      </c>
      <c r="I90" s="47">
        <f t="shared" si="9"/>
        <v>151789.3</v>
      </c>
    </row>
    <row r="91" spans="1:9" ht="18">
      <c r="A91" s="23" t="s">
        <v>3</v>
      </c>
      <c r="B91" s="42">
        <v>25301.7</v>
      </c>
      <c r="C91" s="43">
        <v>148246.2</v>
      </c>
      <c r="D91" s="44">
        <f>1016.5+861.2+216.8+0.1+15.6+1633.8+1584.8+610.3+2</f>
        <v>5941.1</v>
      </c>
      <c r="E91" s="1">
        <f>D91/D90*100</f>
        <v>96.27919036738133</v>
      </c>
      <c r="F91" s="1">
        <f t="shared" si="10"/>
        <v>23.481030918871067</v>
      </c>
      <c r="G91" s="1">
        <f t="shared" si="8"/>
        <v>4.007590076507863</v>
      </c>
      <c r="H91" s="44">
        <f t="shared" si="11"/>
        <v>19360.6</v>
      </c>
      <c r="I91" s="44">
        <f t="shared" si="9"/>
        <v>142305.1</v>
      </c>
    </row>
    <row r="92" spans="1:9" ht="18">
      <c r="A92" s="23" t="s">
        <v>26</v>
      </c>
      <c r="B92" s="42">
        <v>811.7</v>
      </c>
      <c r="C92" s="43">
        <v>2620.6</v>
      </c>
      <c r="D92" s="44">
        <f>48.5</f>
        <v>48.5</v>
      </c>
      <c r="E92" s="1">
        <f>D92/D90*100</f>
        <v>0.7859724180400925</v>
      </c>
      <c r="F92" s="1">
        <f t="shared" si="10"/>
        <v>5.975113958358999</v>
      </c>
      <c r="G92" s="1">
        <f t="shared" si="8"/>
        <v>1.850721208883462</v>
      </c>
      <c r="H92" s="44">
        <f t="shared" si="11"/>
        <v>763.2</v>
      </c>
      <c r="I92" s="44">
        <f t="shared" si="9"/>
        <v>2572.1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1446.8999999999985</v>
      </c>
      <c r="C94" s="43">
        <f>C90-C91-C92-C93</f>
        <v>7093.199999999988</v>
      </c>
      <c r="D94" s="43">
        <f>D90-D91-D92-D93</f>
        <v>181.10000000000036</v>
      </c>
      <c r="E94" s="1">
        <f>D94/D90*100</f>
        <v>2.9348372145785784</v>
      </c>
      <c r="F94" s="1">
        <f t="shared" si="10"/>
        <v>12.516414403206893</v>
      </c>
      <c r="G94" s="1">
        <f>D94/C94*100</f>
        <v>2.5531494952912746</v>
      </c>
      <c r="H94" s="44">
        <f t="shared" si="11"/>
        <v>1265.7999999999981</v>
      </c>
      <c r="I94" s="44">
        <f>C94-D94</f>
        <v>6912.099999999988</v>
      </c>
    </row>
    <row r="95" spans="1:9" ht="18.75">
      <c r="A95" s="108" t="s">
        <v>12</v>
      </c>
      <c r="B95" s="111">
        <v>10866.3</v>
      </c>
      <c r="C95" s="113">
        <v>59880.5</v>
      </c>
      <c r="D95" s="112">
        <f>158.8+434.4+321.9+32+1220.1+1621.7</f>
        <v>3788.8999999999996</v>
      </c>
      <c r="E95" s="107">
        <f>D95/D150*100</f>
        <v>3.667967123924218</v>
      </c>
      <c r="F95" s="110">
        <f t="shared" si="10"/>
        <v>34.86835445367789</v>
      </c>
      <c r="G95" s="106">
        <f>D95/C95*100</f>
        <v>6.3274354756556805</v>
      </c>
      <c r="H95" s="112">
        <f t="shared" si="11"/>
        <v>7077.4</v>
      </c>
      <c r="I95" s="122">
        <f>C95-D95</f>
        <v>56091.6</v>
      </c>
    </row>
    <row r="96" spans="1:9" ht="18.75" thickBot="1">
      <c r="A96" s="109" t="s">
        <v>85</v>
      </c>
      <c r="B96" s="114">
        <v>2118.9</v>
      </c>
      <c r="C96" s="115">
        <v>10660.3</v>
      </c>
      <c r="D96" s="116">
        <f>69.1</f>
        <v>69.1</v>
      </c>
      <c r="E96" s="117">
        <f>D96/D95*100</f>
        <v>1.8237483174536144</v>
      </c>
      <c r="F96" s="118">
        <f t="shared" si="10"/>
        <v>3.261126055972438</v>
      </c>
      <c r="G96" s="119">
        <f>D96/C96*100</f>
        <v>0.6481993940133016</v>
      </c>
      <c r="H96" s="123">
        <f t="shared" si="11"/>
        <v>2049.8</v>
      </c>
      <c r="I96" s="124">
        <f>C96-D96</f>
        <v>10591.199999999999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v>2305.2</v>
      </c>
      <c r="C102" s="92">
        <v>12999.2</v>
      </c>
      <c r="D102" s="79">
        <f>139.4+4+202+15.3+32.9+18.1+0.4</f>
        <v>412.09999999999997</v>
      </c>
      <c r="E102" s="19">
        <f>D102/D150*100</f>
        <v>0.39894672642961554</v>
      </c>
      <c r="F102" s="19">
        <f>D102/B102*100</f>
        <v>17.876973798368905</v>
      </c>
      <c r="G102" s="19">
        <f aca="true" t="shared" si="12" ref="G102:G148">D102/C102*100</f>
        <v>3.170195088928549</v>
      </c>
      <c r="H102" s="79">
        <f aca="true" t="shared" si="13" ref="H102:H107">B102-D102</f>
        <v>1893.1</v>
      </c>
      <c r="I102" s="79">
        <f aca="true" t="shared" si="14" ref="I102:I148">C102-D102</f>
        <v>12587.1</v>
      </c>
    </row>
    <row r="103" spans="1:9" ht="18">
      <c r="A103" s="23" t="s">
        <v>3</v>
      </c>
      <c r="B103" s="89">
        <v>0</v>
      </c>
      <c r="C103" s="87">
        <v>259.1</v>
      </c>
      <c r="D103" s="87"/>
      <c r="E103" s="83">
        <f>D103/D102*100</f>
        <v>0</v>
      </c>
      <c r="F103" s="103" t="e">
        <f>D103/B103*100</f>
        <v>#DIV/0!</v>
      </c>
      <c r="G103" s="83">
        <f>D103/C103*100</f>
        <v>0</v>
      </c>
      <c r="H103" s="87">
        <f t="shared" si="13"/>
        <v>0</v>
      </c>
      <c r="I103" s="87">
        <f t="shared" si="14"/>
        <v>259.1</v>
      </c>
    </row>
    <row r="104" spans="1:9" ht="18">
      <c r="A104" s="85" t="s">
        <v>49</v>
      </c>
      <c r="B104" s="74">
        <v>1978.6</v>
      </c>
      <c r="C104" s="44">
        <v>10720.8</v>
      </c>
      <c r="D104" s="44">
        <f>139.3+4+202+15.3-0.1</f>
        <v>360.5</v>
      </c>
      <c r="E104" s="1">
        <f>D104/D102*100</f>
        <v>87.47876728949285</v>
      </c>
      <c r="F104" s="1">
        <f aca="true" t="shared" si="15" ref="F104:F148">D104/B104*100</f>
        <v>18.2199535024765</v>
      </c>
      <c r="G104" s="1">
        <f t="shared" si="12"/>
        <v>3.3626221923737036</v>
      </c>
      <c r="H104" s="44">
        <f t="shared" si="13"/>
        <v>1618.1</v>
      </c>
      <c r="I104" s="44">
        <f t="shared" si="14"/>
        <v>10360.3</v>
      </c>
    </row>
    <row r="105" spans="1:9" ht="54.75" hidden="1" thickBot="1">
      <c r="A105" s="86" t="s">
        <v>81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28</v>
      </c>
      <c r="B106" s="88">
        <f>B102-B103-B104</f>
        <v>326.5999999999999</v>
      </c>
      <c r="C106" s="88">
        <f>C102-C103-C104</f>
        <v>2019.300000000001</v>
      </c>
      <c r="D106" s="88">
        <f>D102-D103-D104</f>
        <v>51.599999999999966</v>
      </c>
      <c r="E106" s="84">
        <f>D106/D102*100</f>
        <v>12.521232710507151</v>
      </c>
      <c r="F106" s="84">
        <f t="shared" si="15"/>
        <v>15.799142682180031</v>
      </c>
      <c r="G106" s="84">
        <f t="shared" si="12"/>
        <v>2.5553409597385204</v>
      </c>
      <c r="H106" s="124">
        <f>B106-D106</f>
        <v>274.99999999999994</v>
      </c>
      <c r="I106" s="124">
        <f t="shared" si="14"/>
        <v>1967.7000000000012</v>
      </c>
    </row>
    <row r="107" spans="1:9" s="2" customFormat="1" ht="26.25" customHeight="1" thickBot="1">
      <c r="A107" s="80" t="s">
        <v>29</v>
      </c>
      <c r="B107" s="81">
        <f>SUM(B108:B147)-B115-B119+B148-B139-B140-B109-B112-B122-B123-B137-B131-B129</f>
        <v>52472.39999999999</v>
      </c>
      <c r="C107" s="81">
        <f>SUM(C108:C147)-C115-C119+C148-C139-C140-C109-C112-C122-C123-C137-C131-C129</f>
        <v>531420.5</v>
      </c>
      <c r="D107" s="81">
        <f>SUM(D108:D147)-D115-D119+D148-D139-D140-D109-D112-D122-D123-D137-D131-D129</f>
        <v>22552.999999999993</v>
      </c>
      <c r="E107" s="82">
        <f>D107/D150*100</f>
        <v>21.83316069198524</v>
      </c>
      <c r="F107" s="82">
        <f>D107/B107*100</f>
        <v>42.98069080125933</v>
      </c>
      <c r="G107" s="82">
        <f t="shared" si="12"/>
        <v>4.2439085432345935</v>
      </c>
      <c r="H107" s="81">
        <f t="shared" si="13"/>
        <v>29919.399999999994</v>
      </c>
      <c r="I107" s="81">
        <f t="shared" si="14"/>
        <v>508867.5</v>
      </c>
    </row>
    <row r="108" spans="1:9" ht="37.5">
      <c r="A108" s="28" t="s">
        <v>53</v>
      </c>
      <c r="B108" s="71">
        <v>990.4</v>
      </c>
      <c r="C108" s="67">
        <v>4095.6</v>
      </c>
      <c r="D108" s="72">
        <f>12.6+3.2</f>
        <v>15.8</v>
      </c>
      <c r="E108" s="6">
        <f>D108/D107*100</f>
        <v>0.07005719859885605</v>
      </c>
      <c r="F108" s="6">
        <f t="shared" si="15"/>
        <v>1.5953150242326335</v>
      </c>
      <c r="G108" s="6">
        <f t="shared" si="12"/>
        <v>0.38577986131458153</v>
      </c>
      <c r="H108" s="61">
        <f aca="true" t="shared" si="16" ref="H108:H148">B108-D108</f>
        <v>974.6</v>
      </c>
      <c r="I108" s="61">
        <f t="shared" si="14"/>
        <v>4079.7999999999997</v>
      </c>
    </row>
    <row r="109" spans="1:9" ht="18">
      <c r="A109" s="23" t="s">
        <v>26</v>
      </c>
      <c r="B109" s="74">
        <v>716.9</v>
      </c>
      <c r="C109" s="44">
        <v>2633.8</v>
      </c>
      <c r="D109" s="75"/>
      <c r="E109" s="1">
        <f>D109/D108*100</f>
        <v>0</v>
      </c>
      <c r="F109" s="1">
        <f t="shared" si="15"/>
        <v>0</v>
      </c>
      <c r="G109" s="1">
        <f t="shared" si="12"/>
        <v>0</v>
      </c>
      <c r="H109" s="44">
        <f t="shared" si="16"/>
        <v>716.9</v>
      </c>
      <c r="I109" s="44">
        <f t="shared" si="14"/>
        <v>2633.8</v>
      </c>
    </row>
    <row r="110" spans="1:9" ht="34.5" customHeight="1" hidden="1">
      <c r="A110" s="16" t="s">
        <v>80</v>
      </c>
      <c r="B110" s="73"/>
      <c r="C110" s="61"/>
      <c r="D110" s="72"/>
      <c r="E110" s="6">
        <f>D110/D107*100</f>
        <v>0</v>
      </c>
      <c r="F110" s="6" t="e">
        <f>D110/B110*100</f>
        <v>#DIV/0!</v>
      </c>
      <c r="G110" s="6" t="e">
        <f t="shared" si="12"/>
        <v>#DIV/0!</v>
      </c>
      <c r="H110" s="61">
        <f t="shared" si="16"/>
        <v>0</v>
      </c>
      <c r="I110" s="61">
        <f t="shared" si="14"/>
        <v>0</v>
      </c>
    </row>
    <row r="111" spans="1:9" s="37" customFormat="1" ht="34.5" customHeight="1">
      <c r="A111" s="16" t="s">
        <v>101</v>
      </c>
      <c r="B111" s="73">
        <v>270.9</v>
      </c>
      <c r="C111" s="53">
        <v>696.7</v>
      </c>
      <c r="D111" s="76"/>
      <c r="E111" s="6">
        <f>D111/D107*100</f>
        <v>0</v>
      </c>
      <c r="F111" s="125">
        <f t="shared" si="15"/>
        <v>0</v>
      </c>
      <c r="G111" s="6">
        <f t="shared" si="12"/>
        <v>0</v>
      </c>
      <c r="H111" s="61">
        <f t="shared" si="16"/>
        <v>270.9</v>
      </c>
      <c r="I111" s="61">
        <f t="shared" si="14"/>
        <v>696.7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95</v>
      </c>
      <c r="B113" s="73">
        <v>11</v>
      </c>
      <c r="C113" s="61">
        <v>60</v>
      </c>
      <c r="D113" s="72"/>
      <c r="E113" s="6">
        <f>D113/D107*100</f>
        <v>0</v>
      </c>
      <c r="F113" s="125">
        <f t="shared" si="15"/>
        <v>0</v>
      </c>
      <c r="G113" s="6">
        <f t="shared" si="12"/>
        <v>0</v>
      </c>
      <c r="H113" s="61">
        <f t="shared" si="16"/>
        <v>11</v>
      </c>
      <c r="I113" s="61">
        <f t="shared" si="14"/>
        <v>60</v>
      </c>
    </row>
    <row r="114" spans="1:9" ht="37.5">
      <c r="A114" s="16" t="s">
        <v>39</v>
      </c>
      <c r="B114" s="73">
        <v>556.2</v>
      </c>
      <c r="C114" s="61">
        <v>2915.4</v>
      </c>
      <c r="D114" s="72">
        <f>136.4+40+10</f>
        <v>186.4</v>
      </c>
      <c r="E114" s="6">
        <f>D114/D107*100</f>
        <v>0.8264975834700486</v>
      </c>
      <c r="F114" s="6">
        <f t="shared" si="15"/>
        <v>33.51312477526069</v>
      </c>
      <c r="G114" s="6">
        <f t="shared" si="12"/>
        <v>6.393633806681759</v>
      </c>
      <c r="H114" s="61">
        <f t="shared" si="16"/>
        <v>369.80000000000007</v>
      </c>
      <c r="I114" s="61">
        <f t="shared" si="14"/>
        <v>2729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96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19</v>
      </c>
      <c r="C117" s="61">
        <v>99</v>
      </c>
      <c r="D117" s="72"/>
      <c r="E117" s="6">
        <f>D117/D107*100</f>
        <v>0</v>
      </c>
      <c r="F117" s="125">
        <f>D117/B117*100</f>
        <v>0</v>
      </c>
      <c r="G117" s="6">
        <f t="shared" si="12"/>
        <v>0</v>
      </c>
      <c r="H117" s="61">
        <f t="shared" si="16"/>
        <v>19</v>
      </c>
      <c r="I117" s="61">
        <f t="shared" si="14"/>
        <v>99</v>
      </c>
    </row>
    <row r="118" spans="1:9" s="2" customFormat="1" ht="18.75">
      <c r="A118" s="16" t="s">
        <v>15</v>
      </c>
      <c r="B118" s="73">
        <v>90.4</v>
      </c>
      <c r="C118" s="53">
        <v>422.8</v>
      </c>
      <c r="D118" s="72">
        <f>39+5</f>
        <v>44</v>
      </c>
      <c r="E118" s="6">
        <f>D118/D107*100</f>
        <v>0.19509599609808015</v>
      </c>
      <c r="F118" s="6">
        <f t="shared" si="15"/>
        <v>48.67256637168141</v>
      </c>
      <c r="G118" s="6">
        <f t="shared" si="12"/>
        <v>10.406811731315042</v>
      </c>
      <c r="H118" s="61">
        <f t="shared" si="16"/>
        <v>46.400000000000006</v>
      </c>
      <c r="I118" s="61">
        <f t="shared" si="14"/>
        <v>378.8</v>
      </c>
    </row>
    <row r="119" spans="1:9" s="32" customFormat="1" ht="18">
      <c r="A119" s="33" t="s">
        <v>44</v>
      </c>
      <c r="B119" s="74">
        <v>78.1</v>
      </c>
      <c r="C119" s="44">
        <v>351.4</v>
      </c>
      <c r="D119" s="75">
        <f>39</f>
        <v>39</v>
      </c>
      <c r="E119" s="1">
        <f>D119/D118*100</f>
        <v>88.63636363636364</v>
      </c>
      <c r="F119" s="1">
        <f t="shared" si="15"/>
        <v>49.93597951344431</v>
      </c>
      <c r="G119" s="1">
        <f t="shared" si="12"/>
        <v>11.09846328969835</v>
      </c>
      <c r="H119" s="44">
        <f t="shared" si="16"/>
        <v>39.099999999999994</v>
      </c>
      <c r="I119" s="44">
        <f t="shared" si="14"/>
        <v>312.4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102</v>
      </c>
      <c r="B121" s="73">
        <v>70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70</v>
      </c>
      <c r="I121" s="61">
        <f t="shared" si="14"/>
        <v>520</v>
      </c>
    </row>
    <row r="122" spans="1:9" s="102" customFormat="1" ht="18">
      <c r="A122" s="23" t="s">
        <v>82</v>
      </c>
      <c r="B122" s="74">
        <v>0</v>
      </c>
      <c r="C122" s="44">
        <v>80</v>
      </c>
      <c r="D122" s="75"/>
      <c r="E122" s="6"/>
      <c r="F122" s="103" t="e">
        <f>D122/B122*100</f>
        <v>#DIV/0!</v>
      </c>
      <c r="G122" s="1">
        <f t="shared" si="12"/>
        <v>0</v>
      </c>
      <c r="H122" s="44">
        <f t="shared" si="16"/>
        <v>0</v>
      </c>
      <c r="I122" s="44">
        <f t="shared" si="14"/>
        <v>80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103</v>
      </c>
      <c r="B124" s="73">
        <v>6960.2</v>
      </c>
      <c r="C124" s="53">
        <v>33585.8</v>
      </c>
      <c r="D124" s="76"/>
      <c r="E124" s="17">
        <f>D124/D107*100</f>
        <v>0</v>
      </c>
      <c r="F124" s="6">
        <f t="shared" si="15"/>
        <v>0</v>
      </c>
      <c r="G124" s="6">
        <f t="shared" si="12"/>
        <v>0</v>
      </c>
      <c r="H124" s="61">
        <f t="shared" si="16"/>
        <v>6960.2</v>
      </c>
      <c r="I124" s="61">
        <f t="shared" si="14"/>
        <v>33585.8</v>
      </c>
    </row>
    <row r="125" spans="1:9" s="2" customFormat="1" ht="18.75">
      <c r="A125" s="16" t="s">
        <v>98</v>
      </c>
      <c r="B125" s="73">
        <v>110</v>
      </c>
      <c r="C125" s="53">
        <v>585</v>
      </c>
      <c r="D125" s="76"/>
      <c r="E125" s="17">
        <f>D125/D107*100</f>
        <v>0</v>
      </c>
      <c r="F125" s="125">
        <f t="shared" si="15"/>
        <v>0</v>
      </c>
      <c r="G125" s="6">
        <f t="shared" si="12"/>
        <v>0</v>
      </c>
      <c r="H125" s="61">
        <f t="shared" si="16"/>
        <v>110</v>
      </c>
      <c r="I125" s="61">
        <f t="shared" si="14"/>
        <v>585</v>
      </c>
    </row>
    <row r="126" spans="1:9" s="2" customFormat="1" ht="37.5" hidden="1">
      <c r="A126" s="16" t="s">
        <v>97</v>
      </c>
      <c r="B126" s="73"/>
      <c r="C126" s="53"/>
      <c r="D126" s="76"/>
      <c r="E126" s="17">
        <f>D126/D107*100</f>
        <v>0</v>
      </c>
      <c r="F126" s="125" t="e">
        <f t="shared" si="15"/>
        <v>#DIV/0!</v>
      </c>
      <c r="G126" s="6" t="e">
        <f t="shared" si="12"/>
        <v>#DIV/0!</v>
      </c>
      <c r="H126" s="61">
        <f t="shared" si="16"/>
        <v>0</v>
      </c>
      <c r="I126" s="61">
        <f t="shared" si="14"/>
        <v>0</v>
      </c>
    </row>
    <row r="127" spans="1:9" s="2" customFormat="1" ht="37.5">
      <c r="A127" s="16" t="s">
        <v>87</v>
      </c>
      <c r="B127" s="73">
        <v>81.6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81.6</v>
      </c>
      <c r="I127" s="61">
        <f t="shared" si="14"/>
        <v>81.6</v>
      </c>
    </row>
    <row r="128" spans="1:9" s="2" customFormat="1" ht="37.5">
      <c r="A128" s="16" t="s">
        <v>59</v>
      </c>
      <c r="B128" s="73">
        <v>391.4</v>
      </c>
      <c r="C128" s="53">
        <v>1253.3</v>
      </c>
      <c r="D128" s="76">
        <v>6.5</v>
      </c>
      <c r="E128" s="17">
        <f>D128/D107*100</f>
        <v>0.028820999423580025</v>
      </c>
      <c r="F128" s="6">
        <f t="shared" si="15"/>
        <v>1.660705160960654</v>
      </c>
      <c r="G128" s="6">
        <f t="shared" si="12"/>
        <v>0.5186308146493258</v>
      </c>
      <c r="H128" s="61">
        <f t="shared" si="16"/>
        <v>384.9</v>
      </c>
      <c r="I128" s="61">
        <f t="shared" si="14"/>
        <v>1246.8</v>
      </c>
    </row>
    <row r="129" spans="1:9" s="32" customFormat="1" ht="18">
      <c r="A129" s="23" t="s">
        <v>91</v>
      </c>
      <c r="B129" s="74">
        <v>102.4</v>
      </c>
      <c r="C129" s="44">
        <v>459.6</v>
      </c>
      <c r="D129" s="75">
        <v>6.4</v>
      </c>
      <c r="E129" s="1">
        <f>D129/D128*100</f>
        <v>98.46153846153847</v>
      </c>
      <c r="F129" s="1">
        <f>D129/B129*100</f>
        <v>6.25</v>
      </c>
      <c r="G129" s="1">
        <f t="shared" si="12"/>
        <v>1.392515230635335</v>
      </c>
      <c r="H129" s="44">
        <f t="shared" si="16"/>
        <v>96</v>
      </c>
      <c r="I129" s="44">
        <f t="shared" si="14"/>
        <v>453.20000000000005</v>
      </c>
    </row>
    <row r="130" spans="1:9" s="2" customFormat="1" ht="37.5" hidden="1">
      <c r="A130" s="16" t="s">
        <v>99</v>
      </c>
      <c r="B130" s="73"/>
      <c r="C130" s="53"/>
      <c r="D130" s="76"/>
      <c r="E130" s="17">
        <f>D130/D107*100</f>
        <v>0</v>
      </c>
      <c r="F130" s="125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 hidden="1">
      <c r="A132" s="16" t="s">
        <v>55</v>
      </c>
      <c r="B132" s="73"/>
      <c r="C132" s="53"/>
      <c r="D132" s="76"/>
      <c r="E132" s="17">
        <f>D132/D107*100</f>
        <v>0</v>
      </c>
      <c r="F132" s="6" t="e">
        <f t="shared" si="15"/>
        <v>#DIV/0!</v>
      </c>
      <c r="G132" s="6" t="e">
        <f t="shared" si="12"/>
        <v>#DIV/0!</v>
      </c>
      <c r="H132" s="61">
        <f t="shared" si="16"/>
        <v>0</v>
      </c>
      <c r="I132" s="61">
        <f>C132-D132</f>
        <v>0</v>
      </c>
    </row>
    <row r="133" spans="1:9" s="2" customFormat="1" ht="35.25" customHeight="1" hidden="1">
      <c r="A133" s="16" t="s">
        <v>56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90</v>
      </c>
      <c r="B134" s="73">
        <v>18.1</v>
      </c>
      <c r="C134" s="53">
        <v>108.1</v>
      </c>
      <c r="D134" s="76"/>
      <c r="E134" s="17">
        <f>D134/D107*100</f>
        <v>0</v>
      </c>
      <c r="F134" s="6">
        <f t="shared" si="15"/>
        <v>0</v>
      </c>
      <c r="G134" s="6">
        <f t="shared" si="12"/>
        <v>0</v>
      </c>
      <c r="H134" s="61">
        <f t="shared" si="16"/>
        <v>18.1</v>
      </c>
      <c r="I134" s="61">
        <f t="shared" si="14"/>
        <v>108.1</v>
      </c>
    </row>
    <row r="135" spans="1:9" s="2" customFormat="1" ht="37.5">
      <c r="A135" s="16" t="s">
        <v>56</v>
      </c>
      <c r="B135" s="73">
        <v>20</v>
      </c>
      <c r="C135" s="53">
        <v>626.8</v>
      </c>
      <c r="D135" s="76"/>
      <c r="E135" s="17">
        <f>D135/D107*100</f>
        <v>0</v>
      </c>
      <c r="F135" s="125">
        <f t="shared" si="15"/>
        <v>0</v>
      </c>
      <c r="G135" s="6">
        <f t="shared" si="12"/>
        <v>0</v>
      </c>
      <c r="H135" s="61">
        <f t="shared" si="16"/>
        <v>20</v>
      </c>
      <c r="I135" s="61">
        <f t="shared" si="14"/>
        <v>626.8</v>
      </c>
    </row>
    <row r="136" spans="1:9" s="2" customFormat="1" ht="37.5">
      <c r="A136" s="16" t="s">
        <v>86</v>
      </c>
      <c r="B136" s="73">
        <v>106.1</v>
      </c>
      <c r="C136" s="53">
        <v>381.2</v>
      </c>
      <c r="D136" s="76"/>
      <c r="E136" s="17">
        <f>D136/D107*100</f>
        <v>0</v>
      </c>
      <c r="F136" s="6">
        <f t="shared" si="15"/>
        <v>0</v>
      </c>
      <c r="G136" s="6">
        <f>D136/C136*100</f>
        <v>0</v>
      </c>
      <c r="H136" s="61">
        <f t="shared" si="16"/>
        <v>106.1</v>
      </c>
      <c r="I136" s="61">
        <f t="shared" si="14"/>
        <v>381.2</v>
      </c>
    </row>
    <row r="137" spans="1:9" s="32" customFormat="1" ht="18">
      <c r="A137" s="23" t="s">
        <v>26</v>
      </c>
      <c r="B137" s="74">
        <v>85.3</v>
      </c>
      <c r="C137" s="44">
        <v>306.1</v>
      </c>
      <c r="D137" s="75"/>
      <c r="E137" s="103" t="e">
        <f>D137/D136*100</f>
        <v>#DIV/0!</v>
      </c>
      <c r="F137" s="1">
        <f t="shared" si="15"/>
        <v>0</v>
      </c>
      <c r="G137" s="1">
        <f>D137/C137*100</f>
        <v>0</v>
      </c>
      <c r="H137" s="44">
        <f t="shared" si="16"/>
        <v>85.3</v>
      </c>
      <c r="I137" s="44">
        <f t="shared" si="14"/>
        <v>306.1</v>
      </c>
    </row>
    <row r="138" spans="1:9" s="2" customFormat="1" ht="18.75">
      <c r="A138" s="16" t="s">
        <v>104</v>
      </c>
      <c r="B138" s="73">
        <v>237.1</v>
      </c>
      <c r="C138" s="53">
        <v>1397.4</v>
      </c>
      <c r="D138" s="76">
        <f>26+59.9+0.4-0.1</f>
        <v>86.20000000000002</v>
      </c>
      <c r="E138" s="17">
        <f>D138/D107*100</f>
        <v>0.38221079235578437</v>
      </c>
      <c r="F138" s="6">
        <f t="shared" si="15"/>
        <v>36.35596794601435</v>
      </c>
      <c r="G138" s="6">
        <f t="shared" si="12"/>
        <v>6.168598826391872</v>
      </c>
      <c r="H138" s="61">
        <f t="shared" si="16"/>
        <v>150.89999999999998</v>
      </c>
      <c r="I138" s="61">
        <f t="shared" si="14"/>
        <v>1311.2</v>
      </c>
    </row>
    <row r="139" spans="1:9" s="32" customFormat="1" ht="18">
      <c r="A139" s="33" t="s">
        <v>44</v>
      </c>
      <c r="B139" s="74">
        <v>170.8</v>
      </c>
      <c r="C139" s="44">
        <v>1063.5</v>
      </c>
      <c r="D139" s="75">
        <f>26+59.9</f>
        <v>85.9</v>
      </c>
      <c r="E139" s="1">
        <f>D139/D138*100</f>
        <v>99.6519721577726</v>
      </c>
      <c r="F139" s="1">
        <f aca="true" t="shared" si="17" ref="F139:F147">D139/B139*100</f>
        <v>50.292740046838404</v>
      </c>
      <c r="G139" s="1">
        <f t="shared" si="12"/>
        <v>8.077103902209686</v>
      </c>
      <c r="H139" s="44">
        <f t="shared" si="16"/>
        <v>84.9</v>
      </c>
      <c r="I139" s="44">
        <f t="shared" si="14"/>
        <v>977.6</v>
      </c>
    </row>
    <row r="140" spans="1:9" s="32" customFormat="1" ht="18">
      <c r="A140" s="23" t="s">
        <v>26</v>
      </c>
      <c r="B140" s="74">
        <v>15.1</v>
      </c>
      <c r="C140" s="44">
        <v>37.5</v>
      </c>
      <c r="D140" s="75">
        <f>0.4</f>
        <v>0.4</v>
      </c>
      <c r="E140" s="1">
        <f>D140/D138*100</f>
        <v>0.46403712296983746</v>
      </c>
      <c r="F140" s="1">
        <f t="shared" si="17"/>
        <v>2.6490066225165565</v>
      </c>
      <c r="G140" s="1">
        <f>D140/C140*100</f>
        <v>1.0666666666666669</v>
      </c>
      <c r="H140" s="44">
        <f t="shared" si="16"/>
        <v>14.7</v>
      </c>
      <c r="I140" s="44">
        <f t="shared" si="14"/>
        <v>37.1</v>
      </c>
    </row>
    <row r="141" spans="1:9" s="2" customFormat="1" ht="56.25" hidden="1">
      <c r="A141" s="18" t="s">
        <v>89</v>
      </c>
      <c r="B141" s="73"/>
      <c r="C141" s="53"/>
      <c r="D141" s="76"/>
      <c r="E141" s="17">
        <f>D141/D107*100</f>
        <v>0</v>
      </c>
      <c r="F141" s="99" t="e">
        <f t="shared" si="17"/>
        <v>#DIV/0!</v>
      </c>
      <c r="G141" s="6" t="e">
        <f t="shared" si="12"/>
        <v>#DIV/0!</v>
      </c>
      <c r="H141" s="61">
        <f t="shared" si="16"/>
        <v>0</v>
      </c>
      <c r="I141" s="61">
        <f t="shared" si="14"/>
        <v>0</v>
      </c>
    </row>
    <row r="142" spans="1:9" s="2" customFormat="1" ht="18.75" hidden="1">
      <c r="A142" s="18" t="s">
        <v>100</v>
      </c>
      <c r="B142" s="73"/>
      <c r="C142" s="53"/>
      <c r="D142" s="76"/>
      <c r="E142" s="17">
        <f>D142/D107*100</f>
        <v>0</v>
      </c>
      <c r="F142" s="99" t="e">
        <f>D142/B142*100</f>
        <v>#DIV/0!</v>
      </c>
      <c r="G142" s="6" t="e">
        <f t="shared" si="12"/>
        <v>#DIV/0!</v>
      </c>
      <c r="H142" s="61">
        <f t="shared" si="16"/>
        <v>0</v>
      </c>
      <c r="I142" s="61">
        <f t="shared" si="14"/>
        <v>0</v>
      </c>
    </row>
    <row r="143" spans="1:9" s="2" customFormat="1" ht="18.75">
      <c r="A143" s="18" t="s">
        <v>105</v>
      </c>
      <c r="B143" s="73">
        <v>11200.8</v>
      </c>
      <c r="C143" s="53">
        <v>67967</v>
      </c>
      <c r="D143" s="76">
        <f>2189.1+2579.7+68.9+525.7</f>
        <v>5363.399999999999</v>
      </c>
      <c r="E143" s="17">
        <f>D143/D107*100</f>
        <v>23.7813151243737</v>
      </c>
      <c r="F143" s="99">
        <f t="shared" si="17"/>
        <v>47.88407970859224</v>
      </c>
      <c r="G143" s="6">
        <f t="shared" si="12"/>
        <v>7.891182485618018</v>
      </c>
      <c r="H143" s="61">
        <f t="shared" si="16"/>
        <v>5837.400000000001</v>
      </c>
      <c r="I143" s="61">
        <f t="shared" si="14"/>
        <v>62603.6</v>
      </c>
    </row>
    <row r="144" spans="1:9" s="2" customFormat="1" ht="18.75" hidden="1">
      <c r="A144" s="18" t="s">
        <v>88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106</v>
      </c>
      <c r="B145" s="73">
        <v>0</v>
      </c>
      <c r="C145" s="53">
        <v>234</v>
      </c>
      <c r="D145" s="76"/>
      <c r="E145" s="17">
        <f>D145/D107*100</f>
        <v>0</v>
      </c>
      <c r="F145" s="128" t="e">
        <f t="shared" si="17"/>
        <v>#DIV/0!</v>
      </c>
      <c r="G145" s="6">
        <f t="shared" si="12"/>
        <v>0</v>
      </c>
      <c r="H145" s="61">
        <f t="shared" si="16"/>
        <v>0</v>
      </c>
      <c r="I145" s="61">
        <f t="shared" si="14"/>
        <v>234</v>
      </c>
    </row>
    <row r="146" spans="1:12" s="2" customFormat="1" ht="18.75" customHeight="1">
      <c r="A146" s="16" t="s">
        <v>79</v>
      </c>
      <c r="B146" s="73">
        <v>2031.4</v>
      </c>
      <c r="C146" s="53">
        <v>10550.8</v>
      </c>
      <c r="D146" s="76"/>
      <c r="E146" s="17">
        <f>D146/D107*100</f>
        <v>0</v>
      </c>
      <c r="F146" s="99">
        <f t="shared" si="17"/>
        <v>0</v>
      </c>
      <c r="G146" s="6">
        <f t="shared" si="12"/>
        <v>0</v>
      </c>
      <c r="H146" s="61">
        <f t="shared" si="16"/>
        <v>2031.4</v>
      </c>
      <c r="I146" s="61">
        <f t="shared" si="14"/>
        <v>10550.8</v>
      </c>
      <c r="K146" s="38"/>
      <c r="L146" s="38"/>
    </row>
    <row r="147" spans="1:12" s="2" customFormat="1" ht="19.5" customHeight="1">
      <c r="A147" s="16" t="s">
        <v>51</v>
      </c>
      <c r="B147" s="73">
        <v>24393.6</v>
      </c>
      <c r="C147" s="53">
        <v>376354.8</v>
      </c>
      <c r="D147" s="76">
        <f>4905.7+9487.9</f>
        <v>14393.599999999999</v>
      </c>
      <c r="E147" s="17">
        <f>D147/D107*100</f>
        <v>63.82122112357559</v>
      </c>
      <c r="F147" s="6">
        <f t="shared" si="17"/>
        <v>59.00564082382264</v>
      </c>
      <c r="G147" s="6">
        <f t="shared" si="12"/>
        <v>3.8244762654814015</v>
      </c>
      <c r="H147" s="61">
        <f t="shared" si="16"/>
        <v>10000</v>
      </c>
      <c r="I147" s="61">
        <f t="shared" si="14"/>
        <v>361961.2</v>
      </c>
      <c r="K147" s="91"/>
      <c r="L147" s="38"/>
    </row>
    <row r="148" spans="1:12" s="2" customFormat="1" ht="18.75">
      <c r="A148" s="16" t="s">
        <v>107</v>
      </c>
      <c r="B148" s="73">
        <v>4914.2</v>
      </c>
      <c r="C148" s="53">
        <v>29485.2</v>
      </c>
      <c r="D148" s="76">
        <f>819+819+819.1</f>
        <v>2457.1</v>
      </c>
      <c r="E148" s="17">
        <f>D148/D107*100</f>
        <v>10.89478118210438</v>
      </c>
      <c r="F148" s="6">
        <f t="shared" si="15"/>
        <v>50</v>
      </c>
      <c r="G148" s="6">
        <f t="shared" si="12"/>
        <v>8.333333333333332</v>
      </c>
      <c r="H148" s="61">
        <f t="shared" si="16"/>
        <v>2457.1</v>
      </c>
      <c r="I148" s="61">
        <f t="shared" si="14"/>
        <v>27028.100000000002</v>
      </c>
      <c r="K148" s="38"/>
      <c r="L148" s="38"/>
    </row>
    <row r="149" spans="1:12" s="2" customFormat="1" ht="19.5" thickBot="1">
      <c r="A149" s="34" t="s">
        <v>30</v>
      </c>
      <c r="B149" s="77">
        <f>B43+B69+B72+B77+B79+B87+B102+B107+B100+B84+B98</f>
        <v>56918.599999999984</v>
      </c>
      <c r="C149" s="77">
        <f>C43+C69+C72+C77+C79+C87+C102+C107+C100+C84+C98</f>
        <v>556446</v>
      </c>
      <c r="D149" s="53">
        <f>D43+D69+D72+D77+D79+D87+D102+D107+D100+D84+D98</f>
        <v>23016.199999999993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298522.8</v>
      </c>
      <c r="C150" s="47">
        <f>C6+C18+C33+C43+C51+C59+C69+C72+C77+C79+C87+C90+C95+C102+C107+C100+C84+C98+C45</f>
        <v>1839313.0999999999</v>
      </c>
      <c r="D150" s="47">
        <f>D6+D18+D33+D43+D51+D59+D69+D72+D77+D79+D87+D90+D95+D102+D107+D100+D84+D98+D45</f>
        <v>103297</v>
      </c>
      <c r="E150" s="31">
        <v>100</v>
      </c>
      <c r="F150" s="3">
        <f>D150/B150*100</f>
        <v>34.602717112394764</v>
      </c>
      <c r="G150" s="3">
        <f aca="true" t="shared" si="18" ref="G150:G156">D150/C150*100</f>
        <v>5.61606395344001</v>
      </c>
      <c r="H150" s="47">
        <f aca="true" t="shared" si="19" ref="H150:H156">B150-D150</f>
        <v>195225.8</v>
      </c>
      <c r="I150" s="47">
        <f aca="true" t="shared" si="20" ref="I150:I156">C150-D150</f>
        <v>1736016.0999999999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119455.40000000001</v>
      </c>
      <c r="C151" s="60">
        <f>C8+C20+C34+C52+C60+C91+C115+C119+C46+C139+C131+C103</f>
        <v>722894.7</v>
      </c>
      <c r="D151" s="60">
        <f>D8+D20+D34+D52+D60+D91+D115+D119+D46+D139+D131+D103</f>
        <v>48647.399999999994</v>
      </c>
      <c r="E151" s="6">
        <f>D151/D150*100</f>
        <v>47.09468813227876</v>
      </c>
      <c r="F151" s="6">
        <f aca="true" t="shared" si="21" ref="F151:F156">D151/B151*100</f>
        <v>40.724320541390334</v>
      </c>
      <c r="G151" s="6">
        <f t="shared" si="18"/>
        <v>6.7295278274968675</v>
      </c>
      <c r="H151" s="61">
        <f t="shared" si="19"/>
        <v>70808.00000000001</v>
      </c>
      <c r="I151" s="72">
        <f t="shared" si="20"/>
        <v>674247.2999999999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35107.6</v>
      </c>
      <c r="C152" s="61">
        <f>C11+C23+C36+C55+C62+C92+C49+C140+C109+C112+C96+C137</f>
        <v>102469.50000000003</v>
      </c>
      <c r="D152" s="61">
        <f>D11+D23+D36+D55+D62+D92+D49+D140+D109+D112+D96+D137</f>
        <v>665.2</v>
      </c>
      <c r="E152" s="6">
        <f>D152/D150*100</f>
        <v>0.6439683630695955</v>
      </c>
      <c r="F152" s="6">
        <f t="shared" si="21"/>
        <v>1.8947464366689835</v>
      </c>
      <c r="G152" s="6">
        <f t="shared" si="18"/>
        <v>0.6491687770507321</v>
      </c>
      <c r="H152" s="61">
        <f t="shared" si="19"/>
        <v>34442.4</v>
      </c>
      <c r="I152" s="72">
        <f t="shared" si="20"/>
        <v>101804.30000000003</v>
      </c>
      <c r="K152" s="39"/>
      <c r="L152" s="90"/>
    </row>
    <row r="153" spans="1:12" ht="18.75">
      <c r="A153" s="18" t="s">
        <v>1</v>
      </c>
      <c r="B153" s="60">
        <f>B22+B10+B54+B48+B61+B35+B123</f>
        <v>5458.599999999999</v>
      </c>
      <c r="C153" s="60">
        <f>C22+C10+C54+C48+C61+C35+C123</f>
        <v>28682.2</v>
      </c>
      <c r="D153" s="60">
        <f>D22+D10+D54+D48+D61+D35+D123</f>
        <v>1082.8</v>
      </c>
      <c r="E153" s="6">
        <f>D153/D150*100</f>
        <v>1.0482395422906763</v>
      </c>
      <c r="F153" s="6">
        <f t="shared" si="21"/>
        <v>19.836588136152127</v>
      </c>
      <c r="G153" s="6">
        <f t="shared" si="18"/>
        <v>3.775163690372426</v>
      </c>
      <c r="H153" s="61">
        <f t="shared" si="19"/>
        <v>4375.799999999999</v>
      </c>
      <c r="I153" s="72">
        <f t="shared" si="20"/>
        <v>27599.4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4756.2</v>
      </c>
      <c r="C154" s="60">
        <f>C12+C24+C104+C63+C38+C93+C129+C56</f>
        <v>29532.599999999995</v>
      </c>
      <c r="D154" s="60">
        <f>D12+D24+D104+D63+D38+D93+D129+D56</f>
        <v>1414.3000000000002</v>
      </c>
      <c r="E154" s="6">
        <f>D154/D150*100</f>
        <v>1.3691588332671814</v>
      </c>
      <c r="F154" s="6">
        <f t="shared" si="21"/>
        <v>29.735923636516553</v>
      </c>
      <c r="G154" s="6">
        <f t="shared" si="18"/>
        <v>4.7889450979595445</v>
      </c>
      <c r="H154" s="61">
        <f t="shared" si="19"/>
        <v>3341.8999999999996</v>
      </c>
      <c r="I154" s="72">
        <f t="shared" si="20"/>
        <v>28118.299999999996</v>
      </c>
      <c r="K154" s="39"/>
      <c r="L154" s="90"/>
    </row>
    <row r="155" spans="1:12" ht="18.75">
      <c r="A155" s="18" t="s">
        <v>2</v>
      </c>
      <c r="B155" s="60">
        <f>B9+B21+B47+B53+B122</f>
        <v>6</v>
      </c>
      <c r="C155" s="60">
        <f>C9+C21+C47+C53+C122</f>
        <v>186.9</v>
      </c>
      <c r="D155" s="60">
        <f>D9+D21+D47+D53+D122</f>
        <v>0</v>
      </c>
      <c r="E155" s="6">
        <f>D155/D150*100</f>
        <v>0</v>
      </c>
      <c r="F155" s="6">
        <f t="shared" si="21"/>
        <v>0</v>
      </c>
      <c r="G155" s="6">
        <f t="shared" si="18"/>
        <v>0</v>
      </c>
      <c r="H155" s="61">
        <f t="shared" si="19"/>
        <v>6</v>
      </c>
      <c r="I155" s="72">
        <f t="shared" si="20"/>
        <v>186.9</v>
      </c>
      <c r="K155" s="39"/>
      <c r="L155" s="40"/>
    </row>
    <row r="156" spans="1:12" ht="19.5" thickBot="1">
      <c r="A156" s="126" t="s">
        <v>28</v>
      </c>
      <c r="B156" s="78">
        <f>B150-B151-B152-B153-B154-B155</f>
        <v>133738.99999999994</v>
      </c>
      <c r="C156" s="78">
        <f>C150-C151-C152-C153-C154-C155</f>
        <v>955547.2</v>
      </c>
      <c r="D156" s="78">
        <f>D150-D151-D152-D153-D154-D155</f>
        <v>51487.3</v>
      </c>
      <c r="E156" s="36">
        <f>D156/D150*100</f>
        <v>49.84394512909378</v>
      </c>
      <c r="F156" s="36">
        <f t="shared" si="21"/>
        <v>38.498343789021924</v>
      </c>
      <c r="G156" s="36">
        <f t="shared" si="18"/>
        <v>5.388252929839573</v>
      </c>
      <c r="H156" s="127">
        <f t="shared" si="19"/>
        <v>82251.69999999994</v>
      </c>
      <c r="I156" s="127">
        <f t="shared" si="20"/>
        <v>904059.8999999999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54" right="0.16" top="0.2" bottom="0.19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1839313.0999999999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103297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1839313.0999999999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103297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2017-01-31T15:28:49Z</cp:lastPrinted>
  <dcterms:created xsi:type="dcterms:W3CDTF">2000-06-20T04:48:00Z</dcterms:created>
  <dcterms:modified xsi:type="dcterms:W3CDTF">2017-02-01T06:20:11Z</dcterms:modified>
  <cp:category/>
  <cp:version/>
  <cp:contentType/>
  <cp:contentStatus/>
</cp:coreProperties>
</file>